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0" windowWidth="12300" windowHeight="7520" activeTab="0"/>
  </bookViews>
  <sheets>
    <sheet name="National Costs" sheetId="1" r:id="rId1"/>
    <sheet name="Vehicle Cost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<sst xmlns="http://schemas.openxmlformats.org/spreadsheetml/2006/main" count="77" uniqueCount="60">
  <si>
    <t>Light Vehicles</t>
  </si>
  <si>
    <t>Light Trucks</t>
  </si>
  <si>
    <t>Heavy Vehicles</t>
  </si>
  <si>
    <t>CO</t>
  </si>
  <si>
    <t>NOx</t>
  </si>
  <si>
    <t>PM</t>
  </si>
  <si>
    <t>CO2</t>
  </si>
  <si>
    <t>Cost per Ton</t>
  </si>
  <si>
    <t>Low</t>
  </si>
  <si>
    <t>High</t>
  </si>
  <si>
    <t>Average</t>
  </si>
  <si>
    <t>VOC</t>
  </si>
  <si>
    <t>Million Tons</t>
  </si>
  <si>
    <t>Conversion</t>
  </si>
  <si>
    <t>Million Gallons</t>
  </si>
  <si>
    <t xml:space="preserve">Million Kg CO2 </t>
  </si>
  <si>
    <t>Dollars Per Mile</t>
  </si>
  <si>
    <t>Total Vehicles</t>
  </si>
  <si>
    <t xml:space="preserve"> </t>
  </si>
  <si>
    <t>25 Nov. 2006</t>
  </si>
  <si>
    <t>Billion Miles</t>
  </si>
  <si>
    <t>Billion Dollars</t>
  </si>
  <si>
    <t>Others</t>
  </si>
  <si>
    <t>$???</t>
  </si>
  <si>
    <t>Totals</t>
  </si>
  <si>
    <t>Urban</t>
  </si>
  <si>
    <t>Rural</t>
  </si>
  <si>
    <t>References</t>
  </si>
  <si>
    <t>FHWA (2004), Highway Statistics 2004, Federal Highway Administration (http://www.fhwa.dot.gov/policy/ohim/hs05).</t>
  </si>
  <si>
    <r>
      <t xml:space="preserve">ORNL (2005), </t>
    </r>
    <r>
      <rPr>
        <i/>
        <sz val="10"/>
        <rFont val="Arial"/>
        <family val="2"/>
      </rPr>
      <t>Transportation Energy Data Book</t>
    </r>
    <r>
      <rPr>
        <sz val="10"/>
        <rFont val="Arial"/>
        <family val="2"/>
      </rPr>
      <t>, Oak Ridge National Laboratory (http://cta.ornl.gov/data/index.shtml)</t>
    </r>
  </si>
  <si>
    <r>
      <t xml:space="preserve">M.Q. Wang, D.J. Santini and S.A. Warinner (1994), </t>
    </r>
    <r>
      <rPr>
        <i/>
        <sz val="10"/>
        <rFont val="Arial"/>
        <family val="2"/>
      </rPr>
      <t>Methods of Valuing Air Pollution and Estimated Monetary Values of Air Pollutants in Various U.S. Regions</t>
    </r>
    <r>
      <rPr>
        <sz val="10"/>
        <rFont val="Arial"/>
        <family val="2"/>
      </rPr>
      <t xml:space="preserve">, Argonne National Lab. Also see M.Q. Wang, D.J. Santini and S.A. Warinner, “Monetary Values of Air Pollutants in Various U.S. Regions,” </t>
    </r>
    <r>
      <rPr>
        <i/>
        <sz val="10"/>
        <rFont val="Arial"/>
        <family val="2"/>
      </rPr>
      <t>Transportation Research Record 1475</t>
    </r>
    <r>
      <rPr>
        <sz val="10"/>
        <rFont val="Arial"/>
        <family val="2"/>
      </rPr>
      <t>, 1995, pp. 33-41.</t>
    </r>
  </si>
  <si>
    <t>Total Emissions</t>
  </si>
  <si>
    <t>Dollars Per Ton</t>
  </si>
  <si>
    <t>Grams Per Veh.-Mile</t>
  </si>
  <si>
    <t>Annual Mileage</t>
  </si>
  <si>
    <t>MPG</t>
  </si>
  <si>
    <t>Pollutants</t>
  </si>
  <si>
    <t>Tier II Standards</t>
  </si>
  <si>
    <t>Per Mile Emissions</t>
  </si>
  <si>
    <t>Grams CO2/gallon gasoline</t>
  </si>
  <si>
    <t>Total Annual</t>
  </si>
  <si>
    <t>Total Per Mile</t>
  </si>
  <si>
    <t>Emission Costs</t>
  </si>
  <si>
    <t>Dollars Per Year</t>
  </si>
  <si>
    <t>Avg. Car</t>
  </si>
  <si>
    <t>Avg. Light Truck</t>
  </si>
  <si>
    <t>Fuel Efficiency (MPG)</t>
  </si>
  <si>
    <t>Annual Fuel (gallons)</t>
  </si>
  <si>
    <t>Tier II 10</t>
  </si>
  <si>
    <t>Tier II 5</t>
  </si>
  <si>
    <t>Tier II 1</t>
  </si>
  <si>
    <t>Selected Vehicle Emission Costs</t>
  </si>
  <si>
    <t>Air Pollution Costs Spreadsheet</t>
  </si>
  <si>
    <t>Todd Litman, Victoria Transport Policy Institute (www.vtpi.org)</t>
  </si>
  <si>
    <t>This table calculates motor vehicle air pollution costs.</t>
  </si>
  <si>
    <r>
      <t xml:space="preserve">USEPA (2006), </t>
    </r>
    <r>
      <rPr>
        <i/>
        <sz val="10"/>
        <rFont val="Arial"/>
        <family val="2"/>
      </rPr>
      <t>Average Annual Emissions and Fuel Consumption for Passenger Cars and Light Trucks</t>
    </r>
    <r>
      <rPr>
        <sz val="10"/>
        <rFont val="Arial"/>
        <family val="0"/>
      </rPr>
      <t>, Office of Transportation and Qir Quality, United States Environmental Protection Agency (http://www.epa.gov/otaq/consumer/f00013.htm).</t>
    </r>
  </si>
  <si>
    <r>
      <t xml:space="preserve">FHIO (2003), </t>
    </r>
    <r>
      <rPr>
        <i/>
        <sz val="10"/>
        <rFont val="Arial"/>
        <family val="2"/>
      </rPr>
      <t>Greenhouse Gas Table of Conversion Factors</t>
    </r>
    <r>
      <rPr>
        <sz val="10"/>
        <rFont val="Arial"/>
        <family val="0"/>
      </rPr>
      <t>, Government of Canada (www.fhio-ifppe.gc.ca/default.asp?lang=En&amp;n=F837EFD4-1).</t>
    </r>
  </si>
  <si>
    <r>
      <t xml:space="preserve">USEPA (2006), </t>
    </r>
    <r>
      <rPr>
        <i/>
        <sz val="10"/>
        <rFont val="Arial"/>
        <family val="2"/>
      </rPr>
      <t>Green Vehicle Guide</t>
    </r>
    <r>
      <rPr>
        <sz val="10"/>
        <rFont val="Arial"/>
        <family val="0"/>
      </rPr>
      <t>, U.S. Environmental Protenction Agency (http://www.epa.gov/greenvehicle/rating.htm)</t>
    </r>
  </si>
  <si>
    <r>
      <t xml:space="preserve">M.Q. Wang, D.J. Santini and S.A. Warinner (1994), </t>
    </r>
    <r>
      <rPr>
        <i/>
        <sz val="10"/>
        <rFont val="Arial"/>
        <family val="2"/>
      </rPr>
      <t>Methods of Valuing Air Pollution and Estimated Monetary Values of Air Pollutants in Various U.S. Regions</t>
    </r>
    <r>
      <rPr>
        <sz val="10"/>
        <rFont val="Arial"/>
        <family val="0"/>
      </rPr>
      <t xml:space="preserve">, Argonne National Lab. Also see M.Q. Wang, D.J. Santini and S.A. Warinner (1995), “Monetary Values of Air Pollutants in Various U.S. Regions,” </t>
    </r>
    <r>
      <rPr>
        <i/>
        <sz val="10"/>
        <rFont val="Arial"/>
        <family val="2"/>
      </rPr>
      <t>Transportation Research Record 1475</t>
    </r>
    <r>
      <rPr>
        <sz val="10"/>
        <rFont val="Arial"/>
        <family val="0"/>
      </rPr>
      <t>, Transportation Research Board (www.trb.org), pp. 33-41.</t>
    </r>
  </si>
  <si>
    <t xml:space="preserve">1989-2002 Inflation Adjustment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</si>
</sst>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_);[Red]\(&quot;$&quot;#,##0.000\)"/>
    <numFmt numFmtId="166" formatCode="&quot;$&quot;#,##0.0_);[Red]\(&quot;$&quot;#,##0.0\)"/>
    <numFmt numFmtId="167" formatCode="&quot;$&quot;#,##0.0"/>
    <numFmt numFmtId="168" formatCode="&quot;$&quot;#,##0.00"/>
    <numFmt numFmtId="169" formatCode="_(* #,##0.0_);_(* \(#,##0.0\);_(* &quot;-&quot;??_);_(@_)"/>
    <numFmt numFmtId="170" formatCode="_(* #,##0_);_(* \(#,##0\);_(* &quot;-&quot;??_);_(@_)"/>
    <numFmt numFmtId="171" formatCode="&quot;$&quot;#,##0.000"/>
    <numFmt numFmtId="172" formatCode="&quot;$&quot;#,##0.0_);\(&quot;$&quot;#,##0.0\)"/>
    <numFmt numFmtId="173" formatCode="&quot;$&quot;#,##0.0000"/>
    <numFmt numFmtId="174" formatCode="&quot;$&quot;#,##0.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6" fontId="0" fillId="0" borderId="0" xfId="0" applyNumberFormat="1" applyAlignment="1">
      <alignment/>
    </xf>
    <xf numFmtId="164" fontId="0" fillId="0" borderId="0" xfId="0" applyNumberFormat="1" applyAlignment="1">
      <alignment/>
    </xf>
    <xf numFmtId="8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170" fontId="0" fillId="0" borderId="0" xfId="15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0" fillId="0" borderId="0" xfId="15" applyNumberFormat="1" applyAlignment="1">
      <alignment/>
    </xf>
    <xf numFmtId="0" fontId="0" fillId="0" borderId="0" xfId="0" applyFont="1" applyAlignment="1">
      <alignment/>
    </xf>
    <xf numFmtId="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3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8" fillId="0" borderId="0" xfId="0" applyFont="1" applyAlignment="1">
      <alignment/>
    </xf>
    <xf numFmtId="167" fontId="0" fillId="0" borderId="0" xfId="15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0" fillId="0" borderId="0" xfId="15" applyNumberFormat="1" applyAlignment="1">
      <alignment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70" fontId="0" fillId="0" borderId="0" xfId="15" applyNumberFormat="1" applyAlignment="1">
      <alignment horizontal="center"/>
    </xf>
    <xf numFmtId="164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0" fontId="9" fillId="0" borderId="0" xfId="0" applyFont="1" applyAlignment="1">
      <alignment horizontal="center" wrapText="1"/>
    </xf>
    <xf numFmtId="170" fontId="9" fillId="0" borderId="0" xfId="0" applyNumberFormat="1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11.57421875" style="0" customWidth="1"/>
    <col min="3" max="3" width="10.421875" style="0" customWidth="1"/>
    <col min="4" max="4" width="9.140625" style="0" customWidth="1"/>
    <col min="5" max="5" width="14.7109375" style="0" customWidth="1"/>
    <col min="6" max="7" width="16.140625" style="0" customWidth="1"/>
    <col min="8" max="8" width="12.140625" style="0" customWidth="1"/>
    <col min="9" max="9" width="10.57421875" style="0" customWidth="1"/>
  </cols>
  <sheetData>
    <row r="1" ht="12.75">
      <c r="A1" s="1" t="s">
        <v>52</v>
      </c>
    </row>
    <row r="2" ht="12">
      <c r="A2" s="17" t="s">
        <v>53</v>
      </c>
    </row>
    <row r="3" ht="12">
      <c r="A3" s="17" t="s">
        <v>19</v>
      </c>
    </row>
    <row r="4" ht="12">
      <c r="A4" t="s">
        <v>54</v>
      </c>
    </row>
    <row r="6" spans="3:11" ht="19.5" customHeight="1">
      <c r="C6" s="1" t="s">
        <v>7</v>
      </c>
      <c r="E6" s="35" t="s">
        <v>59</v>
      </c>
      <c r="F6" s="1" t="s">
        <v>31</v>
      </c>
      <c r="G6" s="1" t="s">
        <v>25</v>
      </c>
      <c r="K6" s="1" t="s">
        <v>26</v>
      </c>
    </row>
    <row r="7" spans="1:13" ht="12.75">
      <c r="A7" s="7" t="s">
        <v>0</v>
      </c>
      <c r="B7" s="9" t="s">
        <v>8</v>
      </c>
      <c r="C7" s="9" t="s">
        <v>9</v>
      </c>
      <c r="D7" s="9" t="s">
        <v>10</v>
      </c>
      <c r="E7" s="9">
        <v>1.45</v>
      </c>
      <c r="F7" s="9" t="s">
        <v>12</v>
      </c>
      <c r="G7" s="9" t="s">
        <v>12</v>
      </c>
      <c r="H7" s="8" t="s">
        <v>20</v>
      </c>
      <c r="I7" s="9" t="s">
        <v>21</v>
      </c>
      <c r="J7" s="8" t="s">
        <v>16</v>
      </c>
      <c r="K7" s="8" t="s">
        <v>20</v>
      </c>
      <c r="L7" s="9"/>
      <c r="M7" s="8"/>
    </row>
    <row r="8" spans="1:13" ht="12">
      <c r="A8" t="s">
        <v>3</v>
      </c>
      <c r="B8" s="2">
        <v>300</v>
      </c>
      <c r="C8" s="2">
        <v>300</v>
      </c>
      <c r="D8" s="10">
        <f>(B8+C8)/2</f>
        <v>300</v>
      </c>
      <c r="E8" s="2">
        <f>D8*E$7</f>
        <v>435</v>
      </c>
      <c r="F8">
        <v>34.41</v>
      </c>
      <c r="G8" s="20">
        <f>F8*(H8/(H8+K8))</f>
        <v>22.47351674641148</v>
      </c>
      <c r="H8" s="12">
        <v>1092</v>
      </c>
      <c r="I8" s="24">
        <f>($E8*($F8*(H8/(H8+K8))))/1000</f>
        <v>9.775979784688994</v>
      </c>
      <c r="J8" s="14">
        <f>I8/H8</f>
        <v>0.008952362440191387</v>
      </c>
      <c r="K8" s="12">
        <v>580</v>
      </c>
      <c r="L8" s="21"/>
      <c r="M8" s="14"/>
    </row>
    <row r="9" spans="1:13" ht="12">
      <c r="A9" t="s">
        <v>4</v>
      </c>
      <c r="B9" s="11">
        <v>4826</v>
      </c>
      <c r="C9" s="11">
        <v>10634</v>
      </c>
      <c r="D9" s="10">
        <f>(B9+C9)/2</f>
        <v>7730</v>
      </c>
      <c r="E9" s="11">
        <f>D9*E$7</f>
        <v>11208.5</v>
      </c>
      <c r="F9">
        <v>2.18</v>
      </c>
      <c r="G9" s="20">
        <f>F9*(H9/(H9+K9))</f>
        <v>1.4237799043062203</v>
      </c>
      <c r="H9" s="12">
        <f>H8</f>
        <v>1092</v>
      </c>
      <c r="I9" s="24">
        <f>($E9*($F9*(H9/(H9+K9))))/1000</f>
        <v>15.958437057416269</v>
      </c>
      <c r="J9" s="14">
        <f>I9/H9</f>
        <v>0.014613953349282298</v>
      </c>
      <c r="K9" s="12">
        <f>K8</f>
        <v>580</v>
      </c>
      <c r="L9" s="21"/>
      <c r="M9" s="14"/>
    </row>
    <row r="10" spans="1:13" ht="12">
      <c r="A10" t="s">
        <v>11</v>
      </c>
      <c r="B10" s="11">
        <v>2419</v>
      </c>
      <c r="C10" s="11">
        <v>9944</v>
      </c>
      <c r="D10" s="10">
        <f>(B10+C10)/2</f>
        <v>6181.5</v>
      </c>
      <c r="E10" s="11">
        <f>D10*E$7</f>
        <v>8963.175</v>
      </c>
      <c r="F10" s="15">
        <v>2.499</v>
      </c>
      <c r="G10" s="20">
        <f>F10*(H10/(H10+K10))</f>
        <v>1.632122009569378</v>
      </c>
      <c r="H10" s="12">
        <f>H9</f>
        <v>1092</v>
      </c>
      <c r="I10" s="24">
        <f>($E10*($F10*(H10/(H10+K10))))/1000</f>
        <v>14.628995193122009</v>
      </c>
      <c r="J10" s="14">
        <f>I10/H10</f>
        <v>0.013396515744617225</v>
      </c>
      <c r="K10" s="12">
        <f>K9</f>
        <v>580</v>
      </c>
      <c r="L10" s="21"/>
      <c r="M10" s="14"/>
    </row>
    <row r="11" spans="1:13" ht="12">
      <c r="A11" t="s">
        <v>5</v>
      </c>
      <c r="B11" s="2">
        <v>6508</v>
      </c>
      <c r="C11" s="2">
        <v>3687</v>
      </c>
      <c r="D11" s="3">
        <f>(B11+C11)/2</f>
        <v>5097.5</v>
      </c>
      <c r="E11" s="2">
        <f>D11*E$7</f>
        <v>7391.375</v>
      </c>
      <c r="F11">
        <v>0.053</v>
      </c>
      <c r="G11" s="20">
        <f>F11*(H11/(H11+K11))</f>
        <v>0.03461483253588517</v>
      </c>
      <c r="H11" s="12">
        <f>H10</f>
        <v>1092</v>
      </c>
      <c r="I11" s="24">
        <f>($E11*($F11*(H11/(H11+K11))))/1000</f>
        <v>0.2558512078349282</v>
      </c>
      <c r="J11" s="14">
        <f>I11/H11</f>
        <v>0.00023429597787081338</v>
      </c>
      <c r="K11" s="12">
        <f>K10</f>
        <v>580</v>
      </c>
      <c r="L11" s="21"/>
      <c r="M11" s="14"/>
    </row>
    <row r="12" spans="1:13" ht="12">
      <c r="A12" t="s">
        <v>6</v>
      </c>
      <c r="B12" s="4">
        <v>5</v>
      </c>
      <c r="C12" s="4">
        <v>20</v>
      </c>
      <c r="D12" s="4">
        <f>(B12+C12)/2</f>
        <v>12.5</v>
      </c>
      <c r="E12" s="4">
        <f>D12</f>
        <v>12.5</v>
      </c>
      <c r="F12" s="13">
        <f>D41/1000</f>
        <v>174.54059999999998</v>
      </c>
      <c r="G12" s="20">
        <f>F12*(H12/(H12+K12))</f>
        <v>113.99421961722487</v>
      </c>
      <c r="H12" s="12">
        <f>H11</f>
        <v>1092</v>
      </c>
      <c r="I12" s="24">
        <f>($E12*($F12*(H12/(H12+K12))))/1000</f>
        <v>1.424927745215311</v>
      </c>
      <c r="J12" s="14">
        <f>I12/H12</f>
        <v>0.0013048788875598086</v>
      </c>
      <c r="K12" s="12">
        <f>K11</f>
        <v>580</v>
      </c>
      <c r="L12" s="21"/>
      <c r="M12" s="14"/>
    </row>
    <row r="13" spans="1:13" ht="12">
      <c r="A13" t="s">
        <v>22</v>
      </c>
      <c r="B13" s="4"/>
      <c r="C13" s="4"/>
      <c r="D13" s="4" t="s">
        <v>18</v>
      </c>
      <c r="E13" s="18" t="s">
        <v>23</v>
      </c>
      <c r="F13" s="18" t="s">
        <v>23</v>
      </c>
      <c r="G13" s="18"/>
      <c r="H13" s="18" t="s">
        <v>23</v>
      </c>
      <c r="I13" s="24" t="s">
        <v>18</v>
      </c>
      <c r="J13" s="18" t="s">
        <v>23</v>
      </c>
      <c r="K13" s="18" t="s">
        <v>23</v>
      </c>
      <c r="M13" s="18"/>
    </row>
    <row r="14" spans="1:13" ht="12">
      <c r="A14" t="s">
        <v>24</v>
      </c>
      <c r="B14" s="4"/>
      <c r="C14" s="4"/>
      <c r="D14" s="4"/>
      <c r="E14" s="4"/>
      <c r="H14" s="12"/>
      <c r="I14" s="24">
        <f>SUM(I8:I12)</f>
        <v>42.044190988277514</v>
      </c>
      <c r="J14" s="14">
        <f>SUM(J8:J12)</f>
        <v>0.03850200639952153</v>
      </c>
      <c r="K14" s="12"/>
      <c r="M14" s="14"/>
    </row>
    <row r="15" spans="1:11" ht="12.75">
      <c r="A15" s="1" t="s">
        <v>1</v>
      </c>
      <c r="H15" s="12"/>
      <c r="I15" s="24"/>
      <c r="J15" s="14"/>
      <c r="K15" s="12"/>
    </row>
    <row r="16" spans="1:11" ht="12">
      <c r="A16" t="str">
        <f aca="true" t="shared" si="0" ref="A16:E18">A8</f>
        <v>CO</v>
      </c>
      <c r="B16" s="3">
        <f t="shared" si="0"/>
        <v>300</v>
      </c>
      <c r="C16" s="3">
        <f t="shared" si="0"/>
        <v>300</v>
      </c>
      <c r="D16" s="3">
        <f t="shared" si="0"/>
        <v>300</v>
      </c>
      <c r="E16" s="3">
        <f t="shared" si="0"/>
        <v>435</v>
      </c>
      <c r="F16">
        <v>25.31</v>
      </c>
      <c r="G16" s="20">
        <f>F16*(H16/(H16+K16))</f>
        <v>15.715863821138212</v>
      </c>
      <c r="H16" s="12">
        <v>611</v>
      </c>
      <c r="I16" s="24">
        <f>($E16*($F16*(H16/(H16+K16))))/1000</f>
        <v>6.836400762195122</v>
      </c>
      <c r="J16" s="14">
        <f>I16/H16</f>
        <v>0.011188871951219512</v>
      </c>
      <c r="K16" s="12">
        <v>373</v>
      </c>
    </row>
    <row r="17" spans="1:11" ht="12">
      <c r="A17" t="str">
        <f t="shared" si="0"/>
        <v>NOx</v>
      </c>
      <c r="B17" s="3">
        <f t="shared" si="0"/>
        <v>4826</v>
      </c>
      <c r="C17" s="3">
        <f t="shared" si="0"/>
        <v>10634</v>
      </c>
      <c r="D17" s="3">
        <f t="shared" si="0"/>
        <v>7730</v>
      </c>
      <c r="E17" s="3">
        <f t="shared" si="0"/>
        <v>11208.5</v>
      </c>
      <c r="F17">
        <v>1.41</v>
      </c>
      <c r="G17" s="20">
        <f>F17*(H17/(H17+K17))</f>
        <v>0.8755182926829268</v>
      </c>
      <c r="H17" s="12">
        <f>H16</f>
        <v>611</v>
      </c>
      <c r="I17" s="24">
        <f>($E17*($F17*(H17/(H17+K17))))/1000</f>
        <v>9.813246783536584</v>
      </c>
      <c r="J17" s="14">
        <f>I17/H17</f>
        <v>0.016060960365853656</v>
      </c>
      <c r="K17" s="12">
        <f>K16</f>
        <v>373</v>
      </c>
    </row>
    <row r="18" spans="1:11" ht="12">
      <c r="A18" t="str">
        <f t="shared" si="0"/>
        <v>VOC</v>
      </c>
      <c r="B18" s="3">
        <f t="shared" si="0"/>
        <v>2419</v>
      </c>
      <c r="C18" s="3">
        <f t="shared" si="0"/>
        <v>9944</v>
      </c>
      <c r="D18" s="3">
        <f t="shared" si="0"/>
        <v>6181.5</v>
      </c>
      <c r="E18" s="3">
        <f t="shared" si="0"/>
        <v>8963.175</v>
      </c>
      <c r="F18" s="15">
        <v>1.644</v>
      </c>
      <c r="G18" s="20">
        <f>F18*(H18/(H18+K18))</f>
        <v>1.0208170731707318</v>
      </c>
      <c r="H18" s="12">
        <f>H17</f>
        <v>611</v>
      </c>
      <c r="I18" s="24">
        <f>($E18*($F18*(H18/(H18+K18))))/1000</f>
        <v>9.149762069817072</v>
      </c>
      <c r="J18" s="14">
        <f>I18/H18</f>
        <v>0.014975060670731705</v>
      </c>
      <c r="K18" s="12">
        <f>K17</f>
        <v>373</v>
      </c>
    </row>
    <row r="19" spans="1:11" ht="12">
      <c r="A19" t="str">
        <f aca="true" t="shared" si="1" ref="A19:E20">A11</f>
        <v>PM</v>
      </c>
      <c r="B19" s="3">
        <f t="shared" si="1"/>
        <v>6508</v>
      </c>
      <c r="C19" s="3">
        <f t="shared" si="1"/>
        <v>3687</v>
      </c>
      <c r="D19" s="3">
        <f t="shared" si="1"/>
        <v>5097.5</v>
      </c>
      <c r="E19" s="3">
        <f t="shared" si="1"/>
        <v>7391.375</v>
      </c>
      <c r="F19">
        <v>0.031</v>
      </c>
      <c r="G19" s="20">
        <f>F19*(H19/(H19+K19))</f>
        <v>0.0192489837398374</v>
      </c>
      <c r="H19" s="12">
        <f>H18</f>
        <v>611</v>
      </c>
      <c r="I19" s="24">
        <f>($E19*($F19*(H19/(H19+K19))))/1000</f>
        <v>0.14227645719004067</v>
      </c>
      <c r="J19" s="14">
        <f>I19/H19</f>
        <v>0.00023285835873983744</v>
      </c>
      <c r="K19" s="12">
        <f>K18</f>
        <v>373</v>
      </c>
    </row>
    <row r="20" spans="1:11" ht="12">
      <c r="A20" t="str">
        <f t="shared" si="1"/>
        <v>CO2</v>
      </c>
      <c r="B20" s="6">
        <f t="shared" si="1"/>
        <v>5</v>
      </c>
      <c r="C20" s="6">
        <f t="shared" si="1"/>
        <v>20</v>
      </c>
      <c r="D20" s="6">
        <f t="shared" si="1"/>
        <v>12.5</v>
      </c>
      <c r="E20" s="6">
        <f t="shared" si="1"/>
        <v>12.5</v>
      </c>
      <c r="F20" s="13">
        <f>D42/1000</f>
        <v>139.62895999999998</v>
      </c>
      <c r="G20" s="20">
        <f>F20*(H20/(H20+K20))</f>
        <v>86.70050260162601</v>
      </c>
      <c r="H20" s="12">
        <f>H19</f>
        <v>611</v>
      </c>
      <c r="I20" s="24">
        <f>($E20*($F20*(H20/(H20+K20))))/1000</f>
        <v>1.083756282520325</v>
      </c>
      <c r="J20" s="14">
        <f>I20/H20</f>
        <v>0.001773741869918699</v>
      </c>
      <c r="K20" s="12">
        <f>K19</f>
        <v>373</v>
      </c>
    </row>
    <row r="21" spans="1:11" ht="12">
      <c r="A21" t="str">
        <f>A13</f>
        <v>Others</v>
      </c>
      <c r="B21" s="6"/>
      <c r="C21" s="6"/>
      <c r="D21" s="6"/>
      <c r="E21" s="6"/>
      <c r="F21" s="19" t="str">
        <f>F13</f>
        <v>$???</v>
      </c>
      <c r="G21" s="19"/>
      <c r="H21" s="19" t="str">
        <f>H13</f>
        <v>$???</v>
      </c>
      <c r="I21" s="24" t="s">
        <v>18</v>
      </c>
      <c r="J21" s="18" t="s">
        <v>23</v>
      </c>
      <c r="K21" s="19" t="str">
        <f>K13</f>
        <v>$???</v>
      </c>
    </row>
    <row r="22" spans="1:11" ht="12">
      <c r="A22" t="str">
        <f>A14</f>
        <v>Totals</v>
      </c>
      <c r="B22" s="6"/>
      <c r="C22" s="6"/>
      <c r="D22" s="6"/>
      <c r="E22" s="6"/>
      <c r="H22" s="12"/>
      <c r="I22" s="24">
        <f>SUM(I16:I20)</f>
        <v>27.025442355259145</v>
      </c>
      <c r="J22" s="14">
        <f>SUM(J16:J20)</f>
        <v>0.04423149321646341</v>
      </c>
      <c r="K22" s="12"/>
    </row>
    <row r="23" spans="1:11" ht="12.75">
      <c r="A23" s="1" t="s">
        <v>2</v>
      </c>
      <c r="H23" s="12"/>
      <c r="J23" s="14"/>
      <c r="K23" s="12"/>
    </row>
    <row r="24" spans="1:11" ht="12">
      <c r="A24" t="str">
        <f aca="true" t="shared" si="2" ref="A24:E26">A8</f>
        <v>CO</v>
      </c>
      <c r="B24" s="3">
        <f t="shared" si="2"/>
        <v>300</v>
      </c>
      <c r="C24" s="3">
        <f t="shared" si="2"/>
        <v>300</v>
      </c>
      <c r="D24" s="3">
        <f t="shared" si="2"/>
        <v>300</v>
      </c>
      <c r="E24" s="3">
        <f t="shared" si="2"/>
        <v>435</v>
      </c>
      <c r="F24">
        <v>3.67</v>
      </c>
      <c r="G24" s="20">
        <f>F24*(H24/(H24+K24))</f>
        <v>1.5824770642201835</v>
      </c>
      <c r="H24" s="12">
        <v>94</v>
      </c>
      <c r="I24" s="24">
        <f>($E24*($F24*(H24/(H24+K24))))/1000</f>
        <v>0.6883775229357798</v>
      </c>
      <c r="J24" s="14">
        <f>I24/H24</f>
        <v>0.007323165137614679</v>
      </c>
      <c r="K24" s="12">
        <v>124</v>
      </c>
    </row>
    <row r="25" spans="1:11" ht="12">
      <c r="A25" t="str">
        <f t="shared" si="2"/>
        <v>NOx</v>
      </c>
      <c r="B25" s="3">
        <f t="shared" si="2"/>
        <v>4826</v>
      </c>
      <c r="C25" s="3">
        <f t="shared" si="2"/>
        <v>10634</v>
      </c>
      <c r="D25" s="3">
        <f t="shared" si="2"/>
        <v>7730</v>
      </c>
      <c r="E25" s="3">
        <f t="shared" si="2"/>
        <v>11208.5</v>
      </c>
      <c r="F25">
        <v>3.78</v>
      </c>
      <c r="G25" s="20">
        <f>F25*(H25/(H25+K25))</f>
        <v>1.629908256880734</v>
      </c>
      <c r="H25" s="12">
        <f>H24</f>
        <v>94</v>
      </c>
      <c r="I25" s="24">
        <f>($E25*($F25*(H25/(H25+K25))))/1000</f>
        <v>18.268826697247707</v>
      </c>
      <c r="J25" s="14">
        <f>I25/H25</f>
        <v>0.19434922018348624</v>
      </c>
      <c r="K25" s="12">
        <f>K24</f>
        <v>124</v>
      </c>
    </row>
    <row r="26" spans="1:11" ht="12">
      <c r="A26" t="str">
        <f t="shared" si="2"/>
        <v>VOC</v>
      </c>
      <c r="B26" s="3">
        <f t="shared" si="2"/>
        <v>2419</v>
      </c>
      <c r="C26" s="3">
        <f t="shared" si="2"/>
        <v>9944</v>
      </c>
      <c r="D26" s="3">
        <f t="shared" si="2"/>
        <v>6181.5</v>
      </c>
      <c r="E26" s="3">
        <f t="shared" si="2"/>
        <v>8963.175</v>
      </c>
      <c r="F26" s="15">
        <v>0.399</v>
      </c>
      <c r="G26" s="20">
        <f>F26*(H26/(H26+K26))</f>
        <v>0.17204587155963305</v>
      </c>
      <c r="H26" s="12">
        <f>H25</f>
        <v>94</v>
      </c>
      <c r="I26" s="24">
        <f>($E26*($F26*(H26/(H26+K26))))/1000</f>
        <v>1.5420772548165138</v>
      </c>
      <c r="J26" s="14">
        <f>I26/H26</f>
        <v>0.016405077178899084</v>
      </c>
      <c r="K26" s="12">
        <f>K25</f>
        <v>124</v>
      </c>
    </row>
    <row r="27" spans="1:11" ht="12">
      <c r="A27" t="str">
        <f aca="true" t="shared" si="3" ref="A27:E28">A11</f>
        <v>PM</v>
      </c>
      <c r="B27" s="3">
        <f t="shared" si="3"/>
        <v>6508</v>
      </c>
      <c r="C27" s="3">
        <f t="shared" si="3"/>
        <v>3687</v>
      </c>
      <c r="D27" s="3">
        <f t="shared" si="3"/>
        <v>5097.5</v>
      </c>
      <c r="E27" s="3">
        <f t="shared" si="3"/>
        <v>7391.375</v>
      </c>
      <c r="F27">
        <v>0.12</v>
      </c>
      <c r="G27" s="20">
        <f>F27*(H27/(H27+K27))</f>
        <v>0.05174311926605505</v>
      </c>
      <c r="H27" s="12">
        <f>H26</f>
        <v>94</v>
      </c>
      <c r="I27" s="24">
        <f>($E27*($F27*(H27/(H27+K27))))/1000</f>
        <v>0.38245279816513766</v>
      </c>
      <c r="J27" s="14">
        <f>I27/H27</f>
        <v>0.004068646788990826</v>
      </c>
      <c r="K27" s="12">
        <f>K26</f>
        <v>124</v>
      </c>
    </row>
    <row r="28" spans="1:11" ht="12">
      <c r="A28" t="str">
        <f t="shared" si="3"/>
        <v>CO2</v>
      </c>
      <c r="B28" s="6">
        <f t="shared" si="3"/>
        <v>5</v>
      </c>
      <c r="C28" s="6">
        <f t="shared" si="3"/>
        <v>20</v>
      </c>
      <c r="D28" s="6">
        <f t="shared" si="3"/>
        <v>12.5</v>
      </c>
      <c r="E28" s="6">
        <f t="shared" si="3"/>
        <v>12.5</v>
      </c>
      <c r="F28" s="13">
        <f>D43/1000</f>
        <v>98.4727</v>
      </c>
      <c r="G28" s="20">
        <f>F28*(H28/(H28+K28))</f>
        <v>42.46070550458716</v>
      </c>
      <c r="H28" s="12">
        <f>H27</f>
        <v>94</v>
      </c>
      <c r="I28" s="24">
        <f>($E28*($F28*(H28/(H28+K28))))/1000</f>
        <v>0.5307588188073394</v>
      </c>
      <c r="J28" s="14">
        <f>I28/H28</f>
        <v>0.005646370412844036</v>
      </c>
      <c r="K28" s="12">
        <f>K27</f>
        <v>124</v>
      </c>
    </row>
    <row r="29" spans="1:11" ht="12">
      <c r="A29" t="str">
        <f>A13</f>
        <v>Others</v>
      </c>
      <c r="B29" s="6"/>
      <c r="C29" s="6"/>
      <c r="D29" s="6"/>
      <c r="E29" s="6"/>
      <c r="F29" s="19" t="str">
        <f>F13</f>
        <v>$???</v>
      </c>
      <c r="G29" s="19"/>
      <c r="H29" s="19" t="str">
        <f>H13</f>
        <v>$???</v>
      </c>
      <c r="I29" s="24" t="s">
        <v>18</v>
      </c>
      <c r="J29" s="18" t="s">
        <v>23</v>
      </c>
      <c r="K29" s="19" t="str">
        <f>K13</f>
        <v>$???</v>
      </c>
    </row>
    <row r="30" spans="1:10" ht="12">
      <c r="A30" t="str">
        <f>A22</f>
        <v>Totals</v>
      </c>
      <c r="I30" s="24">
        <f>SUM(I24:I28)</f>
        <v>21.41249309197248</v>
      </c>
      <c r="J30" s="14">
        <f>SUM(J24:J28)</f>
        <v>0.2277924797018349</v>
      </c>
    </row>
    <row r="31" spans="1:10" ht="12.75">
      <c r="A31" s="1" t="s">
        <v>17</v>
      </c>
      <c r="J31" s="14"/>
    </row>
    <row r="32" spans="1:11" ht="12">
      <c r="A32" t="str">
        <f aca="true" t="shared" si="4" ref="A32:E36">A8</f>
        <v>CO</v>
      </c>
      <c r="B32" s="3">
        <f t="shared" si="4"/>
        <v>300</v>
      </c>
      <c r="C32" s="3">
        <f t="shared" si="4"/>
        <v>300</v>
      </c>
      <c r="D32" s="3">
        <f t="shared" si="4"/>
        <v>300</v>
      </c>
      <c r="E32" s="3">
        <f t="shared" si="4"/>
        <v>435</v>
      </c>
      <c r="F32" s="16">
        <f aca="true" t="shared" si="5" ref="F32:I36">F8+F16+F24</f>
        <v>63.39</v>
      </c>
      <c r="G32" s="16">
        <f t="shared" si="5"/>
        <v>39.771857631769876</v>
      </c>
      <c r="H32" s="12">
        <f t="shared" si="5"/>
        <v>1797</v>
      </c>
      <c r="I32" s="23">
        <f t="shared" si="5"/>
        <v>17.3007580698199</v>
      </c>
      <c r="J32" s="14">
        <f>(J8+J16+J24)/3</f>
        <v>0.009154799843008526</v>
      </c>
      <c r="K32" s="12">
        <f>K8+K16+K24</f>
        <v>1077</v>
      </c>
    </row>
    <row r="33" spans="1:11" ht="12">
      <c r="A33" t="str">
        <f t="shared" si="4"/>
        <v>NOx</v>
      </c>
      <c r="B33" s="3">
        <f t="shared" si="4"/>
        <v>4826</v>
      </c>
      <c r="C33" s="3">
        <f t="shared" si="4"/>
        <v>10634</v>
      </c>
      <c r="D33" s="3">
        <f t="shared" si="4"/>
        <v>7730</v>
      </c>
      <c r="E33" s="3">
        <f t="shared" si="4"/>
        <v>11208.5</v>
      </c>
      <c r="F33" s="16">
        <f t="shared" si="5"/>
        <v>7.369999999999999</v>
      </c>
      <c r="G33" s="16">
        <f t="shared" si="5"/>
        <v>3.929206453869881</v>
      </c>
      <c r="H33" s="12">
        <f t="shared" si="5"/>
        <v>1797</v>
      </c>
      <c r="I33" s="23">
        <f t="shared" si="5"/>
        <v>44.040510538200564</v>
      </c>
      <c r="J33" s="14">
        <f>(J9+J17+J25)/3</f>
        <v>0.07500804463287407</v>
      </c>
      <c r="K33" s="12">
        <f>K9+K17+K25</f>
        <v>1077</v>
      </c>
    </row>
    <row r="34" spans="1:11" ht="12">
      <c r="A34" t="str">
        <f t="shared" si="4"/>
        <v>VOC</v>
      </c>
      <c r="B34" s="3">
        <f t="shared" si="4"/>
        <v>2419</v>
      </c>
      <c r="C34" s="3">
        <f t="shared" si="4"/>
        <v>9944</v>
      </c>
      <c r="D34" s="3">
        <f t="shared" si="4"/>
        <v>6181.5</v>
      </c>
      <c r="E34" s="3">
        <f t="shared" si="4"/>
        <v>8963.175</v>
      </c>
      <c r="F34" s="16">
        <f t="shared" si="5"/>
        <v>4.542</v>
      </c>
      <c r="G34" s="16">
        <f t="shared" si="5"/>
        <v>2.824984954299743</v>
      </c>
      <c r="H34" s="12">
        <f t="shared" si="5"/>
        <v>1797</v>
      </c>
      <c r="I34" s="23">
        <f t="shared" si="5"/>
        <v>25.320834517755596</v>
      </c>
      <c r="J34" s="14">
        <f>(J10+J18+J26)/3</f>
        <v>0.01492555119808267</v>
      </c>
      <c r="K34" s="12">
        <f>K10+K18+K26</f>
        <v>1077</v>
      </c>
    </row>
    <row r="35" spans="1:11" ht="12">
      <c r="A35" t="str">
        <f t="shared" si="4"/>
        <v>PM</v>
      </c>
      <c r="B35" s="3">
        <f t="shared" si="4"/>
        <v>6508</v>
      </c>
      <c r="C35" s="3">
        <f t="shared" si="4"/>
        <v>3687</v>
      </c>
      <c r="D35" s="3">
        <f t="shared" si="4"/>
        <v>5097.5</v>
      </c>
      <c r="E35" s="3">
        <f t="shared" si="4"/>
        <v>7391.375</v>
      </c>
      <c r="F35" s="16">
        <f t="shared" si="5"/>
        <v>0.204</v>
      </c>
      <c r="G35" s="16">
        <f t="shared" si="5"/>
        <v>0.10560693554177761</v>
      </c>
      <c r="H35" s="12">
        <f t="shared" si="5"/>
        <v>1797</v>
      </c>
      <c r="I35" s="23">
        <f t="shared" si="5"/>
        <v>0.7805804631901065</v>
      </c>
      <c r="J35" s="14">
        <f>(J11+J19+J27)/3</f>
        <v>0.0015119337085338256</v>
      </c>
      <c r="K35" s="12">
        <f>K11+K19+K27</f>
        <v>1077</v>
      </c>
    </row>
    <row r="36" spans="1:11" ht="12">
      <c r="A36" t="str">
        <f t="shared" si="4"/>
        <v>CO2</v>
      </c>
      <c r="B36" s="6">
        <f t="shared" si="4"/>
        <v>5</v>
      </c>
      <c r="C36" s="6">
        <f t="shared" si="4"/>
        <v>20</v>
      </c>
      <c r="D36" s="6">
        <f t="shared" si="4"/>
        <v>12.5</v>
      </c>
      <c r="E36" s="6">
        <f t="shared" si="4"/>
        <v>12.5</v>
      </c>
      <c r="F36" s="16">
        <f t="shared" si="5"/>
        <v>412.64225999999996</v>
      </c>
      <c r="G36" s="16">
        <f t="shared" si="5"/>
        <v>243.15542772343804</v>
      </c>
      <c r="H36" s="12">
        <f t="shared" si="5"/>
        <v>1797</v>
      </c>
      <c r="I36" s="23">
        <f t="shared" si="5"/>
        <v>3.0394428465429755</v>
      </c>
      <c r="J36" s="14">
        <f>(J12+J20+J28)/3</f>
        <v>0.0029083303901075146</v>
      </c>
      <c r="K36" s="12">
        <f>K12+K20+K28</f>
        <v>1077</v>
      </c>
    </row>
    <row r="37" spans="1:11" ht="12">
      <c r="A37" t="str">
        <f>A21</f>
        <v>Others</v>
      </c>
      <c r="B37" s="6"/>
      <c r="C37" s="6"/>
      <c r="D37" s="6"/>
      <c r="E37" s="6"/>
      <c r="F37" s="19" t="str">
        <f>F21</f>
        <v>$???</v>
      </c>
      <c r="G37" s="19"/>
      <c r="H37" s="19" t="str">
        <f>H21</f>
        <v>$???</v>
      </c>
      <c r="I37" s="5"/>
      <c r="J37" s="19" t="str">
        <f>J21</f>
        <v>$???</v>
      </c>
      <c r="K37" s="19" t="str">
        <f>K21</f>
        <v>$???</v>
      </c>
    </row>
    <row r="38" spans="1:10" ht="12">
      <c r="A38" t="str">
        <f>A30</f>
        <v>Totals</v>
      </c>
      <c r="I38" s="5">
        <f>(I14+I22+I30)</f>
        <v>90.48212643550913</v>
      </c>
      <c r="J38" s="14">
        <f>(J14+J22+J30)/3</f>
        <v>0.1035086597726066</v>
      </c>
    </row>
    <row r="40" spans="2:4" ht="12">
      <c r="B40" t="s">
        <v>14</v>
      </c>
      <c r="C40" t="s">
        <v>13</v>
      </c>
      <c r="D40" t="s">
        <v>15</v>
      </c>
    </row>
    <row r="41" spans="1:4" ht="12">
      <c r="A41" t="s">
        <v>0</v>
      </c>
      <c r="B41" s="12">
        <v>74590</v>
      </c>
      <c r="C41">
        <v>2.34</v>
      </c>
      <c r="D41" s="12">
        <f>(B41*C41)</f>
        <v>174540.59999999998</v>
      </c>
    </row>
    <row r="42" spans="1:4" ht="12">
      <c r="A42" t="s">
        <v>1</v>
      </c>
      <c r="B42" s="12">
        <v>56302</v>
      </c>
      <c r="C42">
        <f>(C41+C43)/2</f>
        <v>2.48</v>
      </c>
      <c r="D42" s="12">
        <f>(B42*C42)</f>
        <v>139628.96</v>
      </c>
    </row>
    <row r="43" spans="1:4" ht="12">
      <c r="A43" t="s">
        <v>2</v>
      </c>
      <c r="B43" s="12">
        <f>26895+10690</f>
        <v>37585</v>
      </c>
      <c r="C43">
        <v>2.62</v>
      </c>
      <c r="D43" s="12">
        <f>(B43*C43)</f>
        <v>98472.7</v>
      </c>
    </row>
    <row r="46" ht="15">
      <c r="A46" s="22" t="s">
        <v>27</v>
      </c>
    </row>
    <row r="48" ht="12.75">
      <c r="A48" s="17" t="s">
        <v>29</v>
      </c>
    </row>
    <row r="49" ht="12">
      <c r="A49" s="17"/>
    </row>
    <row r="50" ht="12.75">
      <c r="A50" s="17" t="s">
        <v>30</v>
      </c>
    </row>
    <row r="51" ht="12">
      <c r="A51" s="17"/>
    </row>
    <row r="52" ht="12">
      <c r="A52" s="17" t="s">
        <v>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0" customWidth="1"/>
    <col min="2" max="2" width="13.00390625" style="0" customWidth="1"/>
    <col min="3" max="3" width="14.7109375" style="0" customWidth="1"/>
    <col min="4" max="4" width="10.140625" style="0" customWidth="1"/>
    <col min="5" max="5" width="10.8515625" style="0" bestFit="1" customWidth="1"/>
    <col min="6" max="8" width="8.8515625" style="0" bestFit="1" customWidth="1"/>
    <col min="9" max="9" width="9.421875" style="0" bestFit="1" customWidth="1"/>
    <col min="10" max="14" width="8.8515625" style="0" bestFit="1" customWidth="1"/>
  </cols>
  <sheetData>
    <row r="1" ht="12.75">
      <c r="A1" s="1" t="str">
        <f>'National Costs'!A1</f>
        <v>Air Pollution Costs Spreadsheet</v>
      </c>
    </row>
    <row r="2" ht="12">
      <c r="A2" t="str">
        <f>'National Costs'!A2</f>
        <v>Todd Litman, Victoria Transport Policy Institute (www.vtpi.org)</v>
      </c>
    </row>
    <row r="3" ht="12">
      <c r="A3" t="str">
        <f>'National Costs'!A3</f>
        <v>25 Nov. 2006</v>
      </c>
    </row>
    <row r="5" spans="1:2" ht="12.75">
      <c r="A5" t="s">
        <v>36</v>
      </c>
      <c r="B5" s="1" t="s">
        <v>32</v>
      </c>
    </row>
    <row r="6" spans="1:5" ht="12">
      <c r="A6" t="str">
        <f>'National Costs'!A8</f>
        <v>CO</v>
      </c>
      <c r="B6" s="33">
        <f>'National Costs'!E8</f>
        <v>435</v>
      </c>
      <c r="C6" s="26">
        <v>12000</v>
      </c>
      <c r="D6" s="19" t="s">
        <v>35</v>
      </c>
      <c r="E6" s="27">
        <v>20</v>
      </c>
    </row>
    <row r="7" spans="1:5" ht="12">
      <c r="A7" t="str">
        <f>'National Costs'!A9</f>
        <v>NOx</v>
      </c>
      <c r="B7" s="33">
        <f>'National Costs'!E9</f>
        <v>11208.5</v>
      </c>
      <c r="D7" s="19"/>
      <c r="E7" s="27"/>
    </row>
    <row r="8" spans="1:5" ht="12">
      <c r="A8" t="str">
        <f>'National Costs'!A10</f>
        <v>VOC</v>
      </c>
      <c r="B8" s="33">
        <f>'National Costs'!E10</f>
        <v>8963.175</v>
      </c>
      <c r="D8" s="19"/>
      <c r="E8" s="27"/>
    </row>
    <row r="9" spans="1:5" ht="12">
      <c r="A9" t="str">
        <f>'National Costs'!A11</f>
        <v>PM</v>
      </c>
      <c r="B9" s="33">
        <f>'National Costs'!E11</f>
        <v>7391.375</v>
      </c>
      <c r="D9" s="19"/>
      <c r="E9" s="27"/>
    </row>
    <row r="10" spans="1:2" ht="12">
      <c r="A10" t="str">
        <f>'National Costs'!A12</f>
        <v>CO2</v>
      </c>
      <c r="B10" s="34">
        <f>'National Costs'!E12</f>
        <v>12.5</v>
      </c>
    </row>
    <row r="11" spans="1:2" ht="12">
      <c r="A11" t="s">
        <v>39</v>
      </c>
      <c r="B11" s="32">
        <v>9345</v>
      </c>
    </row>
    <row r="12" ht="12">
      <c r="B12" s="28"/>
    </row>
    <row r="13" spans="1:4" ht="12.75">
      <c r="A13" s="1" t="s">
        <v>38</v>
      </c>
      <c r="B13" s="28"/>
      <c r="D13" s="1" t="s">
        <v>37</v>
      </c>
    </row>
    <row r="14" spans="2:14" ht="12.75">
      <c r="B14" s="1" t="s">
        <v>44</v>
      </c>
      <c r="C14" s="1" t="s">
        <v>45</v>
      </c>
      <c r="D14" s="1">
        <v>10</v>
      </c>
      <c r="E14" s="1">
        <v>9</v>
      </c>
      <c r="F14" s="1">
        <v>8</v>
      </c>
      <c r="G14" s="1">
        <v>7</v>
      </c>
      <c r="H14" s="1">
        <v>6</v>
      </c>
      <c r="I14" s="1">
        <v>5</v>
      </c>
      <c r="J14" s="1">
        <v>4</v>
      </c>
      <c r="K14" s="1">
        <v>3</v>
      </c>
      <c r="L14" s="1">
        <v>2</v>
      </c>
      <c r="M14" s="1">
        <v>1</v>
      </c>
      <c r="N14" s="1">
        <v>0</v>
      </c>
    </row>
    <row r="15" spans="1:14" ht="12">
      <c r="A15" t="s">
        <v>34</v>
      </c>
      <c r="B15" s="12">
        <v>12500</v>
      </c>
      <c r="C15" s="12">
        <v>14000</v>
      </c>
      <c r="D15" s="12">
        <v>12500</v>
      </c>
      <c r="E15" s="12">
        <v>12500</v>
      </c>
      <c r="F15" s="12">
        <v>12500</v>
      </c>
      <c r="G15" s="12">
        <v>12500</v>
      </c>
      <c r="H15" s="12">
        <v>12500</v>
      </c>
      <c r="I15" s="12">
        <v>12500</v>
      </c>
      <c r="J15" s="12">
        <v>12500</v>
      </c>
      <c r="K15" s="12">
        <v>12500</v>
      </c>
      <c r="L15" s="12">
        <v>12500</v>
      </c>
      <c r="M15" s="12">
        <v>12500</v>
      </c>
      <c r="N15" s="12">
        <v>12500</v>
      </c>
    </row>
    <row r="16" spans="1:14" ht="12">
      <c r="A16" t="s">
        <v>46</v>
      </c>
      <c r="B16">
        <v>21.5</v>
      </c>
      <c r="C16">
        <v>17.2</v>
      </c>
      <c r="D16">
        <v>60</v>
      </c>
      <c r="E16">
        <v>50</v>
      </c>
      <c r="F16">
        <v>40</v>
      </c>
      <c r="G16">
        <v>30</v>
      </c>
      <c r="H16">
        <v>25</v>
      </c>
      <c r="I16">
        <v>21.5</v>
      </c>
      <c r="J16">
        <v>21.5</v>
      </c>
      <c r="K16">
        <v>21.5</v>
      </c>
      <c r="L16">
        <v>21.5</v>
      </c>
      <c r="M16">
        <v>21.5</v>
      </c>
      <c r="N16">
        <v>21.5</v>
      </c>
    </row>
    <row r="17" spans="1:14" ht="12">
      <c r="A17" t="s">
        <v>47</v>
      </c>
      <c r="B17" s="13">
        <f aca="true" t="shared" si="0" ref="B17:N17">B15/B16</f>
        <v>581.3953488372093</v>
      </c>
      <c r="C17" s="13">
        <f t="shared" si="0"/>
        <v>813.953488372093</v>
      </c>
      <c r="D17" s="13">
        <f t="shared" si="0"/>
        <v>208.33333333333334</v>
      </c>
      <c r="E17" s="13">
        <f t="shared" si="0"/>
        <v>250</v>
      </c>
      <c r="F17" s="13">
        <f t="shared" si="0"/>
        <v>312.5</v>
      </c>
      <c r="G17" s="13">
        <f t="shared" si="0"/>
        <v>416.6666666666667</v>
      </c>
      <c r="H17" s="13">
        <f t="shared" si="0"/>
        <v>500</v>
      </c>
      <c r="I17" s="13">
        <f t="shared" si="0"/>
        <v>581.3953488372093</v>
      </c>
      <c r="J17" s="13">
        <f t="shared" si="0"/>
        <v>581.3953488372093</v>
      </c>
      <c r="K17" s="13">
        <f t="shared" si="0"/>
        <v>581.3953488372093</v>
      </c>
      <c r="L17" s="13">
        <f t="shared" si="0"/>
        <v>581.3953488372093</v>
      </c>
      <c r="M17" s="13">
        <f t="shared" si="0"/>
        <v>581.3953488372093</v>
      </c>
      <c r="N17" s="13">
        <f t="shared" si="0"/>
        <v>581.3953488372093</v>
      </c>
    </row>
    <row r="18" spans="1:14" ht="12.75">
      <c r="A18" s="29" t="s">
        <v>33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2">
      <c r="A19" t="str">
        <f>A6</f>
        <v>CO</v>
      </c>
      <c r="B19">
        <v>20.9</v>
      </c>
      <c r="C19">
        <v>27.7</v>
      </c>
      <c r="D19">
        <v>0</v>
      </c>
      <c r="E19">
        <v>2.1</v>
      </c>
      <c r="F19">
        <v>2.1</v>
      </c>
      <c r="G19">
        <v>2.1</v>
      </c>
      <c r="H19">
        <v>2.1</v>
      </c>
      <c r="I19">
        <v>4.2</v>
      </c>
      <c r="J19">
        <v>4.2</v>
      </c>
      <c r="K19">
        <v>4.2</v>
      </c>
      <c r="L19">
        <v>4.2</v>
      </c>
      <c r="M19">
        <v>6.4</v>
      </c>
      <c r="N19">
        <v>7.3</v>
      </c>
    </row>
    <row r="20" spans="1:14" ht="12">
      <c r="A20" t="str">
        <f>A7</f>
        <v>NOx</v>
      </c>
      <c r="B20">
        <v>1.39</v>
      </c>
      <c r="C20">
        <v>2.81</v>
      </c>
      <c r="D20">
        <v>0</v>
      </c>
      <c r="E20">
        <v>0.02</v>
      </c>
      <c r="F20">
        <v>0.03</v>
      </c>
      <c r="G20">
        <v>0.04</v>
      </c>
      <c r="H20">
        <v>0.07</v>
      </c>
      <c r="I20">
        <v>0.1</v>
      </c>
      <c r="J20">
        <v>0.15</v>
      </c>
      <c r="K20">
        <v>0.2</v>
      </c>
      <c r="L20">
        <v>0.3</v>
      </c>
      <c r="M20">
        <v>0.6</v>
      </c>
      <c r="N20">
        <v>0.9</v>
      </c>
    </row>
    <row r="21" spans="1:14" ht="12">
      <c r="A21" t="str">
        <f>A8</f>
        <v>VOC</v>
      </c>
      <c r="B21">
        <v>2.8</v>
      </c>
      <c r="C21">
        <v>3.51</v>
      </c>
      <c r="D21">
        <v>0</v>
      </c>
      <c r="E21">
        <v>0.01</v>
      </c>
      <c r="F21">
        <v>0.055</v>
      </c>
      <c r="G21">
        <v>0.07</v>
      </c>
      <c r="H21">
        <v>0.09</v>
      </c>
      <c r="I21">
        <v>0.09</v>
      </c>
      <c r="J21">
        <v>0.09</v>
      </c>
      <c r="K21">
        <v>0.156</v>
      </c>
      <c r="L21">
        <v>0.18</v>
      </c>
      <c r="M21">
        <v>0.28</v>
      </c>
      <c r="N21">
        <v>0.28</v>
      </c>
    </row>
    <row r="22" spans="1:14" ht="12">
      <c r="A22" t="str">
        <f>A9</f>
        <v>PM</v>
      </c>
      <c r="B22">
        <v>0.12</v>
      </c>
      <c r="C22">
        <v>0.12</v>
      </c>
      <c r="D22">
        <v>0</v>
      </c>
      <c r="E22">
        <v>0.01</v>
      </c>
      <c r="F22">
        <v>0.01</v>
      </c>
      <c r="G22">
        <v>0.01</v>
      </c>
      <c r="H22">
        <v>0.01</v>
      </c>
      <c r="I22">
        <v>0.01</v>
      </c>
      <c r="J22">
        <v>0.02</v>
      </c>
      <c r="K22">
        <v>0.02</v>
      </c>
      <c r="L22">
        <v>0.06</v>
      </c>
      <c r="M22">
        <v>0.08</v>
      </c>
      <c r="N22">
        <v>0.12</v>
      </c>
    </row>
    <row r="23" spans="1:14" ht="12">
      <c r="A23" t="str">
        <f>A10</f>
        <v>CO2</v>
      </c>
      <c r="B23" s="25">
        <f>$B11/B16</f>
        <v>434.6511627906977</v>
      </c>
      <c r="C23" s="25">
        <f aca="true" t="shared" si="1" ref="C23:N23">$B11/C16</f>
        <v>543.3139534883721</v>
      </c>
      <c r="D23" s="25">
        <f t="shared" si="1"/>
        <v>155.75</v>
      </c>
      <c r="E23" s="25">
        <f t="shared" si="1"/>
        <v>186.9</v>
      </c>
      <c r="F23" s="25">
        <f t="shared" si="1"/>
        <v>233.625</v>
      </c>
      <c r="G23" s="25">
        <f t="shared" si="1"/>
        <v>311.5</v>
      </c>
      <c r="H23" s="25">
        <f t="shared" si="1"/>
        <v>373.8</v>
      </c>
      <c r="I23" s="25">
        <f t="shared" si="1"/>
        <v>434.6511627906977</v>
      </c>
      <c r="J23" s="25">
        <f t="shared" si="1"/>
        <v>434.6511627906977</v>
      </c>
      <c r="K23" s="25">
        <f t="shared" si="1"/>
        <v>434.6511627906977</v>
      </c>
      <c r="L23" s="25">
        <f t="shared" si="1"/>
        <v>434.6511627906977</v>
      </c>
      <c r="M23" s="25">
        <f t="shared" si="1"/>
        <v>434.6511627906977</v>
      </c>
      <c r="N23" s="25">
        <f t="shared" si="1"/>
        <v>434.6511627906977</v>
      </c>
    </row>
    <row r="25" spans="1:4" ht="12.75">
      <c r="A25" s="1" t="s">
        <v>42</v>
      </c>
      <c r="D25" s="1" t="str">
        <f>D13</f>
        <v>Tier II Standards</v>
      </c>
    </row>
    <row r="26" spans="1:14" ht="12.75">
      <c r="A26" t="s">
        <v>18</v>
      </c>
      <c r="B26" s="1" t="str">
        <f>B14</f>
        <v>Avg. Car</v>
      </c>
      <c r="C26" s="1" t="str">
        <f>C14</f>
        <v>Avg. Light Truck</v>
      </c>
      <c r="D26" s="1">
        <f>D14</f>
        <v>10</v>
      </c>
      <c r="E26" s="1">
        <f aca="true" t="shared" si="2" ref="E26:N26">E14</f>
        <v>9</v>
      </c>
      <c r="F26" s="1">
        <f t="shared" si="2"/>
        <v>8</v>
      </c>
      <c r="G26" s="1">
        <f t="shared" si="2"/>
        <v>7</v>
      </c>
      <c r="H26" s="1">
        <f t="shared" si="2"/>
        <v>6</v>
      </c>
      <c r="I26" s="1">
        <f t="shared" si="2"/>
        <v>5</v>
      </c>
      <c r="J26" s="1">
        <f t="shared" si="2"/>
        <v>4</v>
      </c>
      <c r="K26" s="1">
        <f t="shared" si="2"/>
        <v>3</v>
      </c>
      <c r="L26" s="1">
        <f t="shared" si="2"/>
        <v>2</v>
      </c>
      <c r="M26" s="1">
        <f t="shared" si="2"/>
        <v>1</v>
      </c>
      <c r="N26" s="1">
        <f t="shared" si="2"/>
        <v>0</v>
      </c>
    </row>
    <row r="27" spans="1:14" ht="12.75">
      <c r="A27" s="29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">
      <c r="A28" t="str">
        <f>A6</f>
        <v>CO</v>
      </c>
      <c r="B28" s="6">
        <f>(($B6*B19)/909091)*B$15</f>
        <v>125.00811249918875</v>
      </c>
      <c r="C28" s="6">
        <f aca="true" t="shared" si="3" ref="C28:N28">(($B6*C19)/909091)*C$15</f>
        <v>185.56228144377187</v>
      </c>
      <c r="D28" s="6">
        <f t="shared" si="3"/>
        <v>0</v>
      </c>
      <c r="E28" s="6">
        <f t="shared" si="3"/>
        <v>12.560623743937628</v>
      </c>
      <c r="F28" s="6">
        <f t="shared" si="3"/>
        <v>12.560623743937628</v>
      </c>
      <c r="G28" s="6">
        <f t="shared" si="3"/>
        <v>12.560623743937628</v>
      </c>
      <c r="H28" s="6">
        <f t="shared" si="3"/>
        <v>12.560623743937628</v>
      </c>
      <c r="I28" s="6">
        <f t="shared" si="3"/>
        <v>25.121247487875255</v>
      </c>
      <c r="J28" s="6">
        <f t="shared" si="3"/>
        <v>25.121247487875255</v>
      </c>
      <c r="K28" s="6">
        <f t="shared" si="3"/>
        <v>25.121247487875255</v>
      </c>
      <c r="L28" s="6">
        <f t="shared" si="3"/>
        <v>25.121247487875255</v>
      </c>
      <c r="M28" s="6">
        <f t="shared" si="3"/>
        <v>38.27999617200038</v>
      </c>
      <c r="N28" s="6">
        <f t="shared" si="3"/>
        <v>43.66312063368794</v>
      </c>
    </row>
    <row r="29" spans="1:14" ht="12">
      <c r="A29" t="str">
        <f>A7</f>
        <v>NOx</v>
      </c>
      <c r="B29" s="6">
        <f aca="true" t="shared" si="4" ref="B29:N29">(($B7*B20)/909091)*B$15</f>
        <v>214.2224348277565</v>
      </c>
      <c r="C29" s="6">
        <f t="shared" si="4"/>
        <v>485.03658049634197</v>
      </c>
      <c r="D29" s="6">
        <f t="shared" si="4"/>
        <v>0</v>
      </c>
      <c r="E29" s="6">
        <f t="shared" si="4"/>
        <v>3.082337191766281</v>
      </c>
      <c r="F29" s="6">
        <f t="shared" si="4"/>
        <v>4.623505787649421</v>
      </c>
      <c r="G29" s="6">
        <f t="shared" si="4"/>
        <v>6.164674383532562</v>
      </c>
      <c r="H29" s="6">
        <f t="shared" si="4"/>
        <v>10.788180171181983</v>
      </c>
      <c r="I29" s="6">
        <f t="shared" si="4"/>
        <v>15.411685958831406</v>
      </c>
      <c r="J29" s="6">
        <f t="shared" si="4"/>
        <v>23.117528938247105</v>
      </c>
      <c r="K29" s="6">
        <f t="shared" si="4"/>
        <v>30.82337191766281</v>
      </c>
      <c r="L29" s="6">
        <f t="shared" si="4"/>
        <v>46.23505787649421</v>
      </c>
      <c r="M29" s="6">
        <f t="shared" si="4"/>
        <v>92.47011575298842</v>
      </c>
      <c r="N29" s="6">
        <f t="shared" si="4"/>
        <v>138.70517362948263</v>
      </c>
    </row>
    <row r="30" spans="1:14" ht="12">
      <c r="A30" t="str">
        <f>A8</f>
        <v>VOC</v>
      </c>
      <c r="B30" s="6">
        <f aca="true" t="shared" si="5" ref="B30:N30">(($B8*B21)/909091)*B$15</f>
        <v>345.08220299177964</v>
      </c>
      <c r="C30" s="6">
        <f t="shared" si="5"/>
        <v>484.4954130004586</v>
      </c>
      <c r="D30" s="6">
        <f t="shared" si="5"/>
        <v>0</v>
      </c>
      <c r="E30" s="6">
        <f t="shared" si="5"/>
        <v>1.232436439256356</v>
      </c>
      <c r="F30" s="6">
        <f t="shared" si="5"/>
        <v>6.778400415909958</v>
      </c>
      <c r="G30" s="6">
        <f t="shared" si="5"/>
        <v>8.627055074794491</v>
      </c>
      <c r="H30" s="6">
        <f t="shared" si="5"/>
        <v>11.091927953307202</v>
      </c>
      <c r="I30" s="6">
        <f t="shared" si="5"/>
        <v>11.091927953307202</v>
      </c>
      <c r="J30" s="6">
        <f t="shared" si="5"/>
        <v>11.091927953307202</v>
      </c>
      <c r="K30" s="6">
        <f t="shared" si="5"/>
        <v>19.226008452399153</v>
      </c>
      <c r="L30" s="6">
        <f t="shared" si="5"/>
        <v>22.183855906614404</v>
      </c>
      <c r="M30" s="6">
        <f t="shared" si="5"/>
        <v>34.508220299177964</v>
      </c>
      <c r="N30" s="6">
        <f t="shared" si="5"/>
        <v>34.508220299177964</v>
      </c>
    </row>
    <row r="31" spans="1:14" ht="12">
      <c r="A31" t="str">
        <f>A9</f>
        <v>PM</v>
      </c>
      <c r="B31" s="6">
        <f aca="true" t="shared" si="6" ref="B31:N31">(($B9*B22)/909091)*B$15</f>
        <v>12.195767530423245</v>
      </c>
      <c r="C31" s="6">
        <f t="shared" si="6"/>
        <v>13.659259634074035</v>
      </c>
      <c r="D31" s="6">
        <f t="shared" si="6"/>
        <v>0</v>
      </c>
      <c r="E31" s="6">
        <f t="shared" si="6"/>
        <v>1.016313960868604</v>
      </c>
      <c r="F31" s="6">
        <f t="shared" si="6"/>
        <v>1.016313960868604</v>
      </c>
      <c r="G31" s="6">
        <f t="shared" si="6"/>
        <v>1.016313960868604</v>
      </c>
      <c r="H31" s="6">
        <f t="shared" si="6"/>
        <v>1.016313960868604</v>
      </c>
      <c r="I31" s="6">
        <f t="shared" si="6"/>
        <v>1.016313960868604</v>
      </c>
      <c r="J31" s="6">
        <f t="shared" si="6"/>
        <v>2.032627921737208</v>
      </c>
      <c r="K31" s="6">
        <f t="shared" si="6"/>
        <v>2.032627921737208</v>
      </c>
      <c r="L31" s="6">
        <f t="shared" si="6"/>
        <v>6.0978837652116225</v>
      </c>
      <c r="M31" s="6">
        <f t="shared" si="6"/>
        <v>8.130511686948832</v>
      </c>
      <c r="N31" s="6">
        <f t="shared" si="6"/>
        <v>12.195767530423245</v>
      </c>
    </row>
    <row r="32" spans="1:14" ht="12">
      <c r="A32" t="str">
        <f>A10</f>
        <v>CO2</v>
      </c>
      <c r="B32" s="6">
        <f aca="true" t="shared" si="7" ref="B32:N32">(($B10*B23)/909091)*B$15</f>
        <v>74.70566113408505</v>
      </c>
      <c r="C32" s="6">
        <f t="shared" si="7"/>
        <v>104.58792558771907</v>
      </c>
      <c r="D32" s="6">
        <f t="shared" si="7"/>
        <v>26.769528573047143</v>
      </c>
      <c r="E32" s="6">
        <f t="shared" si="7"/>
        <v>32.12343428765657</v>
      </c>
      <c r="F32" s="6">
        <f t="shared" si="7"/>
        <v>40.15429285957071</v>
      </c>
      <c r="G32" s="6">
        <f t="shared" si="7"/>
        <v>53.53905714609429</v>
      </c>
      <c r="H32" s="6">
        <f t="shared" si="7"/>
        <v>64.24686857531314</v>
      </c>
      <c r="I32" s="6">
        <f t="shared" si="7"/>
        <v>74.70566113408505</v>
      </c>
      <c r="J32" s="6">
        <f t="shared" si="7"/>
        <v>74.70566113408505</v>
      </c>
      <c r="K32" s="6">
        <f t="shared" si="7"/>
        <v>74.70566113408505</v>
      </c>
      <c r="L32" s="6">
        <f t="shared" si="7"/>
        <v>74.70566113408505</v>
      </c>
      <c r="M32" s="6">
        <f t="shared" si="7"/>
        <v>74.70566113408505</v>
      </c>
      <c r="N32" s="6">
        <f t="shared" si="7"/>
        <v>74.70566113408505</v>
      </c>
    </row>
    <row r="33" spans="1:14" ht="12.75">
      <c r="A33" s="29" t="s">
        <v>40</v>
      </c>
      <c r="B33" s="30">
        <f aca="true" t="shared" si="8" ref="B33:N33">SUM(B28:B32)</f>
        <v>771.2141789832333</v>
      </c>
      <c r="C33" s="30">
        <f t="shared" si="8"/>
        <v>1273.3414601623656</v>
      </c>
      <c r="D33" s="31">
        <f t="shared" si="8"/>
        <v>26.769528573047143</v>
      </c>
      <c r="E33" s="31">
        <f t="shared" si="8"/>
        <v>50.01514562348544</v>
      </c>
      <c r="F33" s="31">
        <f t="shared" si="8"/>
        <v>65.13313676793632</v>
      </c>
      <c r="G33" s="31">
        <f t="shared" si="8"/>
        <v>81.90772430922758</v>
      </c>
      <c r="H33" s="31">
        <f t="shared" si="8"/>
        <v>99.70391440460855</v>
      </c>
      <c r="I33" s="31">
        <f t="shared" si="8"/>
        <v>127.34683649496752</v>
      </c>
      <c r="J33" s="31">
        <f t="shared" si="8"/>
        <v>136.06899343525183</v>
      </c>
      <c r="K33" s="31">
        <f t="shared" si="8"/>
        <v>151.90891691375947</v>
      </c>
      <c r="L33" s="31">
        <f t="shared" si="8"/>
        <v>174.34370617028054</v>
      </c>
      <c r="M33" s="31">
        <f t="shared" si="8"/>
        <v>248.09450504520066</v>
      </c>
      <c r="N33" s="31">
        <f t="shared" si="8"/>
        <v>303.77794322685685</v>
      </c>
    </row>
    <row r="34" spans="1:14" ht="12.75">
      <c r="A34" s="29" t="s">
        <v>41</v>
      </c>
      <c r="B34" s="14">
        <f>B33/B15</f>
        <v>0.06169713431865866</v>
      </c>
      <c r="C34" s="14">
        <f aca="true" t="shared" si="9" ref="C34:N34">C33/C15</f>
        <v>0.09095296144016897</v>
      </c>
      <c r="D34" s="14">
        <f t="shared" si="9"/>
        <v>0.0021415622858437715</v>
      </c>
      <c r="E34" s="14">
        <f t="shared" si="9"/>
        <v>0.004001211649878835</v>
      </c>
      <c r="F34" s="14">
        <f t="shared" si="9"/>
        <v>0.0052106509414349056</v>
      </c>
      <c r="G34" s="14">
        <f t="shared" si="9"/>
        <v>0.006552617944738206</v>
      </c>
      <c r="H34" s="14">
        <f t="shared" si="9"/>
        <v>0.007976313152368684</v>
      </c>
      <c r="I34" s="14">
        <f t="shared" si="9"/>
        <v>0.010187746919597401</v>
      </c>
      <c r="J34" s="14">
        <f t="shared" si="9"/>
        <v>0.010885519474820146</v>
      </c>
      <c r="K34" s="14">
        <f t="shared" si="9"/>
        <v>0.012152713353100758</v>
      </c>
      <c r="L34" s="14">
        <f t="shared" si="9"/>
        <v>0.013947496493622443</v>
      </c>
      <c r="M34" s="14">
        <f t="shared" si="9"/>
        <v>0.019847560403616054</v>
      </c>
      <c r="N34" s="14">
        <f t="shared" si="9"/>
        <v>0.02430223545814855</v>
      </c>
    </row>
    <row r="36" ht="12.75">
      <c r="A36" s="1" t="s">
        <v>51</v>
      </c>
    </row>
    <row r="37" spans="3:11" ht="12.75">
      <c r="C37" s="1" t="str">
        <f>B14</f>
        <v>Avg. Car</v>
      </c>
      <c r="D37" s="1"/>
      <c r="E37" s="1" t="str">
        <f>C14</f>
        <v>Avg. Light Truck</v>
      </c>
      <c r="G37" s="1" t="s">
        <v>48</v>
      </c>
      <c r="H37" s="1"/>
      <c r="I37" s="1" t="s">
        <v>49</v>
      </c>
      <c r="J37" s="1"/>
      <c r="K37" s="1" t="s">
        <v>50</v>
      </c>
    </row>
    <row r="38" spans="1:11" ht="12">
      <c r="A38" s="13" t="str">
        <f>A15</f>
        <v>Annual Mileage</v>
      </c>
      <c r="C38" s="13">
        <f>B15</f>
        <v>12500</v>
      </c>
      <c r="E38" s="13">
        <f>C15</f>
        <v>14000</v>
      </c>
      <c r="G38" s="13">
        <f>D15</f>
        <v>12500</v>
      </c>
      <c r="I38" s="13">
        <f>I15</f>
        <v>12500</v>
      </c>
      <c r="K38" s="13">
        <f>M15</f>
        <v>12500</v>
      </c>
    </row>
    <row r="39" spans="1:11" ht="12">
      <c r="A39" s="13" t="str">
        <f>A16</f>
        <v>Fuel Efficiency (MPG)</v>
      </c>
      <c r="C39" s="13">
        <f>B16</f>
        <v>21.5</v>
      </c>
      <c r="E39" s="13">
        <f>C16</f>
        <v>17.2</v>
      </c>
      <c r="G39" s="13">
        <f>D16</f>
        <v>60</v>
      </c>
      <c r="I39" s="13">
        <f>I16</f>
        <v>21.5</v>
      </c>
      <c r="K39" s="13">
        <f>M16</f>
        <v>21.5</v>
      </c>
    </row>
    <row r="40" spans="1:11" ht="12">
      <c r="A40" s="13" t="str">
        <f>A17</f>
        <v>Annual Fuel (gallons)</v>
      </c>
      <c r="C40" s="13">
        <f>B17</f>
        <v>581.3953488372093</v>
      </c>
      <c r="E40" s="13">
        <f>C17</f>
        <v>813.953488372093</v>
      </c>
      <c r="G40" s="13">
        <f>D17</f>
        <v>208.33333333333334</v>
      </c>
      <c r="I40" s="13">
        <f>I17</f>
        <v>581.3953488372093</v>
      </c>
      <c r="K40" s="13">
        <f>M17</f>
        <v>581.3953488372093</v>
      </c>
    </row>
    <row r="41" spans="1:12" ht="21">
      <c r="A41" s="35"/>
      <c r="B41" s="35" t="s">
        <v>32</v>
      </c>
      <c r="C41" s="36" t="str">
        <f>A18</f>
        <v>Grams Per Veh.-Mile</v>
      </c>
      <c r="D41" s="35" t="str">
        <f>A27</f>
        <v>Dollars Per Year</v>
      </c>
      <c r="E41" s="36" t="str">
        <f>A18</f>
        <v>Grams Per Veh.-Mile</v>
      </c>
      <c r="F41" s="35" t="str">
        <f>A27</f>
        <v>Dollars Per Year</v>
      </c>
      <c r="G41" s="35" t="str">
        <f>A18</f>
        <v>Grams Per Veh.-Mile</v>
      </c>
      <c r="H41" s="35" t="str">
        <f>A27</f>
        <v>Dollars Per Year</v>
      </c>
      <c r="I41" s="35" t="str">
        <f>A18</f>
        <v>Grams Per Veh.-Mile</v>
      </c>
      <c r="J41" s="35" t="str">
        <f>A27</f>
        <v>Dollars Per Year</v>
      </c>
      <c r="K41" s="35" t="str">
        <f>A18</f>
        <v>Grams Per Veh.-Mile</v>
      </c>
      <c r="L41" s="35" t="str">
        <f>A27</f>
        <v>Dollars Per Year</v>
      </c>
    </row>
    <row r="42" spans="1:12" ht="12">
      <c r="A42" s="13" t="str">
        <f>A28</f>
        <v>CO</v>
      </c>
      <c r="B42" s="3">
        <f>B6</f>
        <v>435</v>
      </c>
      <c r="C42" s="20">
        <f>B19</f>
        <v>20.9</v>
      </c>
      <c r="D42" s="3">
        <f aca="true" t="shared" si="10" ref="D42:D48">B28</f>
        <v>125.00811249918875</v>
      </c>
      <c r="E42" s="20">
        <f>C19</f>
        <v>27.7</v>
      </c>
      <c r="F42" s="3">
        <f aca="true" t="shared" si="11" ref="F42:F48">C28</f>
        <v>185.56228144377187</v>
      </c>
      <c r="G42">
        <f>D19</f>
        <v>0</v>
      </c>
      <c r="H42" s="6">
        <f>D28</f>
        <v>0</v>
      </c>
      <c r="I42">
        <f>I19</f>
        <v>4.2</v>
      </c>
      <c r="J42" s="6">
        <f>I28</f>
        <v>25.121247487875255</v>
      </c>
      <c r="K42">
        <f>M19</f>
        <v>6.4</v>
      </c>
      <c r="L42" s="6">
        <f>M28</f>
        <v>38.27999617200038</v>
      </c>
    </row>
    <row r="43" spans="1:12" ht="12">
      <c r="A43" s="13" t="str">
        <f aca="true" t="shared" si="12" ref="A43:A48">A29</f>
        <v>NOx</v>
      </c>
      <c r="B43" s="3">
        <f>B7</f>
        <v>11208.5</v>
      </c>
      <c r="C43" s="20">
        <f>B20</f>
        <v>1.39</v>
      </c>
      <c r="D43" s="3">
        <f t="shared" si="10"/>
        <v>214.2224348277565</v>
      </c>
      <c r="E43" s="20">
        <f>C20</f>
        <v>2.81</v>
      </c>
      <c r="F43" s="3">
        <f t="shared" si="11"/>
        <v>485.03658049634197</v>
      </c>
      <c r="G43">
        <f>D20</f>
        <v>0</v>
      </c>
      <c r="H43" s="6">
        <f aca="true" t="shared" si="13" ref="H43:H48">D29</f>
        <v>0</v>
      </c>
      <c r="I43">
        <f>I20</f>
        <v>0.1</v>
      </c>
      <c r="J43" s="6">
        <f aca="true" t="shared" si="14" ref="J43:J48">I29</f>
        <v>15.411685958831406</v>
      </c>
      <c r="K43">
        <f>M20</f>
        <v>0.6</v>
      </c>
      <c r="L43" s="6">
        <f aca="true" t="shared" si="15" ref="L43:L48">M29</f>
        <v>92.47011575298842</v>
      </c>
    </row>
    <row r="44" spans="1:12" ht="12">
      <c r="A44" s="13" t="str">
        <f t="shared" si="12"/>
        <v>VOC</v>
      </c>
      <c r="B44" s="3">
        <f>B8</f>
        <v>8963.175</v>
      </c>
      <c r="C44" s="20">
        <f>B21</f>
        <v>2.8</v>
      </c>
      <c r="D44" s="3">
        <f t="shared" si="10"/>
        <v>345.08220299177964</v>
      </c>
      <c r="E44" s="20">
        <f>C21</f>
        <v>3.51</v>
      </c>
      <c r="F44" s="3">
        <f t="shared" si="11"/>
        <v>484.4954130004586</v>
      </c>
      <c r="G44">
        <f>D21</f>
        <v>0</v>
      </c>
      <c r="H44" s="6">
        <f t="shared" si="13"/>
        <v>0</v>
      </c>
      <c r="I44">
        <f>I21</f>
        <v>0.09</v>
      </c>
      <c r="J44" s="6">
        <f t="shared" si="14"/>
        <v>11.091927953307202</v>
      </c>
      <c r="K44">
        <f>M21</f>
        <v>0.28</v>
      </c>
      <c r="L44" s="6">
        <f t="shared" si="15"/>
        <v>34.508220299177964</v>
      </c>
    </row>
    <row r="45" spans="1:12" ht="12">
      <c r="A45" s="13" t="str">
        <f t="shared" si="12"/>
        <v>PM</v>
      </c>
      <c r="B45" s="3">
        <f>B9</f>
        <v>7391.375</v>
      </c>
      <c r="C45" s="20">
        <f>B22</f>
        <v>0.12</v>
      </c>
      <c r="D45" s="3">
        <f t="shared" si="10"/>
        <v>12.195767530423245</v>
      </c>
      <c r="E45" s="20">
        <f>C22</f>
        <v>0.12</v>
      </c>
      <c r="F45" s="3">
        <f t="shared" si="11"/>
        <v>13.659259634074035</v>
      </c>
      <c r="G45">
        <f>D22</f>
        <v>0</v>
      </c>
      <c r="H45" s="6">
        <f t="shared" si="13"/>
        <v>0</v>
      </c>
      <c r="I45">
        <f>I22</f>
        <v>0.01</v>
      </c>
      <c r="J45" s="6">
        <f t="shared" si="14"/>
        <v>1.016313960868604</v>
      </c>
      <c r="K45">
        <f>M22</f>
        <v>0.08</v>
      </c>
      <c r="L45" s="6">
        <f t="shared" si="15"/>
        <v>8.130511686948832</v>
      </c>
    </row>
    <row r="46" spans="1:12" ht="12">
      <c r="A46" s="13" t="str">
        <f t="shared" si="12"/>
        <v>CO2</v>
      </c>
      <c r="B46" s="6">
        <f>B10</f>
        <v>12.5</v>
      </c>
      <c r="C46" s="13">
        <f>B23</f>
        <v>434.6511627906977</v>
      </c>
      <c r="D46" s="3">
        <f t="shared" si="10"/>
        <v>74.70566113408505</v>
      </c>
      <c r="E46" s="13">
        <f>C23</f>
        <v>543.3139534883721</v>
      </c>
      <c r="F46" s="3">
        <f t="shared" si="11"/>
        <v>104.58792558771907</v>
      </c>
      <c r="G46" s="25">
        <f>D23</f>
        <v>155.75</v>
      </c>
      <c r="H46" s="6">
        <f t="shared" si="13"/>
        <v>26.769528573047143</v>
      </c>
      <c r="I46" s="25">
        <f>I23</f>
        <v>434.6511627906977</v>
      </c>
      <c r="J46" s="6">
        <f t="shared" si="14"/>
        <v>74.70566113408505</v>
      </c>
      <c r="K46" s="25">
        <f>M23</f>
        <v>434.6511627906977</v>
      </c>
      <c r="L46" s="6">
        <f t="shared" si="15"/>
        <v>74.70566113408505</v>
      </c>
    </row>
    <row r="47" spans="1:12" ht="12">
      <c r="A47" s="13" t="str">
        <f t="shared" si="12"/>
        <v>Total Annual</v>
      </c>
      <c r="D47" s="3">
        <f t="shared" si="10"/>
        <v>771.2141789832333</v>
      </c>
      <c r="F47" s="3">
        <f t="shared" si="11"/>
        <v>1273.3414601623656</v>
      </c>
      <c r="H47" s="3">
        <f t="shared" si="13"/>
        <v>26.769528573047143</v>
      </c>
      <c r="J47" s="3">
        <f t="shared" si="14"/>
        <v>127.34683649496752</v>
      </c>
      <c r="L47" s="3">
        <f t="shared" si="15"/>
        <v>248.09450504520066</v>
      </c>
    </row>
    <row r="48" spans="1:12" ht="12">
      <c r="A48" s="13" t="str">
        <f t="shared" si="12"/>
        <v>Total Per Mile</v>
      </c>
      <c r="D48" s="14">
        <f t="shared" si="10"/>
        <v>0.06169713431865866</v>
      </c>
      <c r="E48" s="14"/>
      <c r="F48" s="14">
        <f t="shared" si="11"/>
        <v>0.09095296144016897</v>
      </c>
      <c r="H48" s="14">
        <f t="shared" si="13"/>
        <v>0.0021415622858437715</v>
      </c>
      <c r="J48" s="14">
        <f t="shared" si="14"/>
        <v>0.010187746919597401</v>
      </c>
      <c r="L48" s="14">
        <f t="shared" si="15"/>
        <v>0.019847560403616054</v>
      </c>
    </row>
    <row r="51" ht="12.75">
      <c r="A51" s="1" t="s">
        <v>27</v>
      </c>
    </row>
    <row r="52" ht="12.75">
      <c r="A52" t="s">
        <v>56</v>
      </c>
    </row>
    <row r="54" ht="12.75">
      <c r="A54" t="s">
        <v>55</v>
      </c>
    </row>
    <row r="56" ht="12.75">
      <c r="A56" t="s">
        <v>57</v>
      </c>
    </row>
    <row r="58" ht="12.75">
      <c r="A58" t="s">
        <v>58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Victoria Transport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 Litman</dc:creator>
  <cp:keywords/>
  <dc:description/>
  <cp:lastModifiedBy>Todd Litman</cp:lastModifiedBy>
  <dcterms:created xsi:type="dcterms:W3CDTF">2006-11-25T09:29:46Z</dcterms:created>
  <dcterms:modified xsi:type="dcterms:W3CDTF">2006-11-27T21:52:42Z</dcterms:modified>
  <cp:category/>
  <cp:version/>
  <cp:contentType/>
  <cp:contentStatus/>
</cp:coreProperties>
</file>